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4910" windowHeight="7695"/>
  </bookViews>
  <sheets>
    <sheet name="Who's the best" sheetId="1" r:id="rId1"/>
  </sheets>
  <calcPr calcId="125725"/>
</workbook>
</file>

<file path=xl/calcChain.xml><?xml version="1.0" encoding="utf-8"?>
<calcChain xmlns="http://schemas.openxmlformats.org/spreadsheetml/2006/main">
  <c r="G3" i="1"/>
  <c r="H3"/>
  <c r="I3"/>
  <c r="G4"/>
  <c r="H4"/>
  <c r="I4"/>
  <c r="G5"/>
  <c r="H5"/>
  <c r="I5"/>
  <c r="G6"/>
  <c r="H6"/>
  <c r="I6"/>
  <c r="G7"/>
  <c r="H7"/>
  <c r="I7"/>
  <c r="G8"/>
  <c r="H8"/>
  <c r="J8" s="1"/>
  <c r="M8" s="1"/>
  <c r="I8"/>
  <c r="G9"/>
  <c r="J9" s="1"/>
  <c r="M9" s="1"/>
  <c r="H9"/>
  <c r="I9"/>
  <c r="G10"/>
  <c r="H10"/>
  <c r="I10"/>
  <c r="G11"/>
  <c r="H11"/>
  <c r="I11"/>
  <c r="G12"/>
  <c r="H12"/>
  <c r="I12"/>
  <c r="G13"/>
  <c r="J13" s="1"/>
  <c r="M13" s="1"/>
  <c r="H13"/>
  <c r="I13"/>
  <c r="G14"/>
  <c r="H14"/>
  <c r="J14" s="1"/>
  <c r="M14" s="1"/>
  <c r="I14"/>
  <c r="G15"/>
  <c r="H15"/>
  <c r="I15"/>
  <c r="G16"/>
  <c r="H16"/>
  <c r="I16"/>
  <c r="G17"/>
  <c r="H17"/>
  <c r="I17"/>
  <c r="G18"/>
  <c r="H18"/>
  <c r="J18" s="1"/>
  <c r="M18" s="1"/>
  <c r="I18"/>
  <c r="G19"/>
  <c r="J19" s="1"/>
  <c r="M19" s="1"/>
  <c r="H19"/>
  <c r="I19"/>
  <c r="G20"/>
  <c r="H20"/>
  <c r="I20"/>
  <c r="G21"/>
  <c r="H21"/>
  <c r="I21"/>
  <c r="G22"/>
  <c r="H22"/>
  <c r="J22" s="1"/>
  <c r="M22" s="1"/>
  <c r="I22"/>
  <c r="G23"/>
  <c r="H23"/>
  <c r="I23"/>
  <c r="G24"/>
  <c r="H24"/>
  <c r="I24"/>
  <c r="G25"/>
  <c r="J25" s="1"/>
  <c r="M25" s="1"/>
  <c r="H25"/>
  <c r="I25"/>
  <c r="G26"/>
  <c r="H26"/>
  <c r="J26" s="1"/>
  <c r="M26" s="1"/>
  <c r="I26"/>
  <c r="G2"/>
  <c r="I2"/>
  <c r="H2"/>
  <c r="J4"/>
  <c r="M4" s="1"/>
  <c r="J10"/>
  <c r="M10" s="1"/>
  <c r="J16"/>
  <c r="M16" s="1"/>
  <c r="J20"/>
  <c r="M20" s="1"/>
  <c r="J24"/>
  <c r="M24" s="1"/>
  <c r="J23"/>
  <c r="M23" s="1"/>
  <c r="J21"/>
  <c r="M21" s="1"/>
  <c r="J17"/>
  <c r="M17" s="1"/>
  <c r="J12"/>
  <c r="M12" s="1"/>
  <c r="J6"/>
  <c r="M6" s="1"/>
  <c r="J2" l="1"/>
  <c r="M2" s="1"/>
  <c r="J3"/>
  <c r="M3" s="1"/>
  <c r="J5"/>
  <c r="M5" s="1"/>
  <c r="J7"/>
  <c r="M7" s="1"/>
  <c r="J11"/>
  <c r="M11" s="1"/>
  <c r="J15"/>
  <c r="M15" s="1"/>
  <c r="P5" l="1"/>
  <c r="P2"/>
  <c r="S2" s="1"/>
  <c r="P24"/>
  <c r="S24" s="1"/>
  <c r="P19"/>
  <c r="S19" s="1"/>
  <c r="P15"/>
  <c r="S15" s="1"/>
  <c r="P11"/>
  <c r="S11" s="1"/>
  <c r="P7"/>
  <c r="S7" s="1"/>
  <c r="P3"/>
  <c r="S3" s="1"/>
  <c r="P25"/>
  <c r="S25" s="1"/>
  <c r="P20"/>
  <c r="S20" s="1"/>
  <c r="P16"/>
  <c r="S16" s="1"/>
  <c r="P12"/>
  <c r="S12" s="1"/>
  <c r="P8"/>
  <c r="S8" s="1"/>
  <c r="P4"/>
  <c r="S4" s="1"/>
  <c r="P26"/>
  <c r="S26" s="1"/>
  <c r="P22"/>
  <c r="S22" s="1"/>
  <c r="P17"/>
  <c r="S17" s="1"/>
  <c r="P13"/>
  <c r="S13" s="1"/>
  <c r="P9"/>
  <c r="S9" s="1"/>
  <c r="S5"/>
  <c r="P21"/>
  <c r="S21" s="1"/>
  <c r="P23"/>
  <c r="S23" s="1"/>
  <c r="P18"/>
  <c r="S18" s="1"/>
  <c r="P14"/>
  <c r="S14" s="1"/>
  <c r="P10"/>
  <c r="S10" s="1"/>
  <c r="P6"/>
  <c r="S6" s="1"/>
</calcChain>
</file>

<file path=xl/sharedStrings.xml><?xml version="1.0" encoding="utf-8"?>
<sst xmlns="http://schemas.openxmlformats.org/spreadsheetml/2006/main" count="65" uniqueCount="38">
  <si>
    <t xml:space="preserve">Gold </t>
  </si>
  <si>
    <t xml:space="preserve">Silver </t>
  </si>
  <si>
    <t xml:space="preserve">Bronze </t>
  </si>
  <si>
    <t>Total</t>
  </si>
  <si>
    <t xml:space="preserve">Country </t>
  </si>
  <si>
    <t>Gold Weighed</t>
  </si>
  <si>
    <t>Silver Weighed</t>
  </si>
  <si>
    <t>Bronze Weighed</t>
  </si>
  <si>
    <t>Population</t>
  </si>
  <si>
    <t>Total Score</t>
  </si>
  <si>
    <t>Ordered Scores</t>
  </si>
  <si>
    <t>Country</t>
  </si>
  <si>
    <t xml:space="preserve">China </t>
  </si>
  <si>
    <t xml:space="preserve">USA </t>
  </si>
  <si>
    <t xml:space="preserve">Russian Fed. </t>
  </si>
  <si>
    <t xml:space="preserve">Great Britain </t>
  </si>
  <si>
    <t xml:space="preserve">Germany </t>
  </si>
  <si>
    <t xml:space="preserve">Australia </t>
  </si>
  <si>
    <t xml:space="preserve">Korea </t>
  </si>
  <si>
    <t xml:space="preserve">Japan </t>
  </si>
  <si>
    <t xml:space="preserve">Italy </t>
  </si>
  <si>
    <t xml:space="preserve">Netherlands </t>
  </si>
  <si>
    <t xml:space="preserve">France </t>
  </si>
  <si>
    <t xml:space="preserve">Ukraine </t>
  </si>
  <si>
    <t xml:space="preserve">Jamaica </t>
  </si>
  <si>
    <t xml:space="preserve">Spain </t>
  </si>
  <si>
    <t xml:space="preserve">Kenya </t>
  </si>
  <si>
    <t xml:space="preserve">Ethiopia </t>
  </si>
  <si>
    <t xml:space="preserve">Romania </t>
  </si>
  <si>
    <t xml:space="preserve">Belarus </t>
  </si>
  <si>
    <t xml:space="preserve">Norway </t>
  </si>
  <si>
    <t xml:space="preserve">Canada </t>
  </si>
  <si>
    <t xml:space="preserve">New Zealand </t>
  </si>
  <si>
    <t xml:space="preserve">Slovakia </t>
  </si>
  <si>
    <t xml:space="preserve">Brazil </t>
  </si>
  <si>
    <t xml:space="preserve">Poland </t>
  </si>
  <si>
    <t xml:space="preserve">Czech Republic </t>
  </si>
  <si>
    <t>Rank (Top 25)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</si>
</sst>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2" borderId="3" xfId="0" applyNumberFormat="1" applyFont="1" applyFill="1" applyBorder="1"/>
    <xf numFmtId="3" fontId="1" fillId="2" borderId="4" xfId="0" applyNumberFormat="1" applyFont="1" applyFill="1" applyBorder="1"/>
    <xf numFmtId="1" fontId="1" fillId="2" borderId="5" xfId="0" applyNumberFormat="1" applyFont="1" applyFill="1" applyBorder="1"/>
    <xf numFmtId="3" fontId="1" fillId="2" borderId="6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3" xfId="0" applyNumberFormat="1" applyFill="1" applyBorder="1"/>
    <xf numFmtId="0" fontId="0" fillId="3" borderId="4" xfId="0" applyFill="1" applyBorder="1"/>
    <xf numFmtId="3" fontId="0" fillId="3" borderId="5" xfId="0" applyNumberFormat="1" applyFill="1" applyBorder="1"/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tabSelected="1" zoomScale="90" zoomScaleNormal="90" workbookViewId="0">
      <selection activeCell="K23" sqref="K23"/>
    </sheetView>
  </sheetViews>
  <sheetFormatPr defaultRowHeight="15"/>
  <cols>
    <col min="1" max="1" width="14.85546875" bestFit="1" customWidth="1"/>
    <col min="2" max="2" width="6.28515625" customWidth="1"/>
    <col min="3" max="4" width="6.5703125" customWidth="1"/>
    <col min="5" max="5" width="5.140625" customWidth="1"/>
    <col min="6" max="6" width="3.140625" customWidth="1"/>
    <col min="7" max="7" width="13.7109375" bestFit="1" customWidth="1"/>
    <col min="8" max="8" width="14.5703125" bestFit="1" customWidth="1"/>
    <col min="9" max="9" width="15.7109375" bestFit="1" customWidth="1"/>
    <col min="10" max="10" width="12.140625" bestFit="1" customWidth="1"/>
    <col min="11" max="11" width="3.5703125" customWidth="1"/>
    <col min="12" max="12" width="13.5703125" bestFit="1" customWidth="1"/>
    <col min="13" max="13" width="10.7109375" bestFit="1" customWidth="1"/>
    <col min="14" max="14" width="14.85546875" bestFit="1" customWidth="1"/>
    <col min="15" max="15" width="3.7109375" customWidth="1"/>
    <col min="16" max="16" width="14" customWidth="1"/>
    <col min="17" max="17" width="4.140625" customWidth="1"/>
    <col min="18" max="18" width="14.5703125" bestFit="1" customWidth="1"/>
    <col min="19" max="19" width="14.85546875" bestFit="1" customWidth="1"/>
  </cols>
  <sheetData>
    <row r="1" spans="1:19" ht="15.75">
      <c r="A1" t="s">
        <v>4</v>
      </c>
      <c r="B1" t="s">
        <v>0</v>
      </c>
      <c r="C1" t="s">
        <v>1</v>
      </c>
      <c r="D1" t="s">
        <v>2</v>
      </c>
      <c r="E1" t="s">
        <v>3</v>
      </c>
      <c r="G1" t="s">
        <v>5</v>
      </c>
      <c r="H1" t="s">
        <v>6</v>
      </c>
      <c r="I1" t="s">
        <v>7</v>
      </c>
      <c r="J1" t="s">
        <v>3</v>
      </c>
      <c r="L1" t="s">
        <v>8</v>
      </c>
      <c r="M1" s="9" t="s">
        <v>9</v>
      </c>
      <c r="N1" s="10" t="s">
        <v>4</v>
      </c>
      <c r="P1" t="s">
        <v>10</v>
      </c>
      <c r="R1" s="7" t="s">
        <v>37</v>
      </c>
      <c r="S1" s="8" t="s">
        <v>11</v>
      </c>
    </row>
    <row r="2" spans="1:19">
      <c r="A2" t="s">
        <v>12</v>
      </c>
      <c r="B2">
        <v>51</v>
      </c>
      <c r="C2">
        <v>21</v>
      </c>
      <c r="D2">
        <v>28</v>
      </c>
      <c r="E2">
        <v>100</v>
      </c>
      <c r="G2" s="1">
        <f>B2*30000000</f>
        <v>1530000000</v>
      </c>
      <c r="H2" s="1">
        <f>C2*20000000</f>
        <v>420000000</v>
      </c>
      <c r="I2" s="1">
        <f>D2*10000000</f>
        <v>280000000</v>
      </c>
      <c r="J2" s="1">
        <f>G2+H2+I2</f>
        <v>2230000000</v>
      </c>
      <c r="L2" s="2">
        <v>1350000000</v>
      </c>
      <c r="M2" s="11">
        <f>J2/L2</f>
        <v>1.6518518518518519</v>
      </c>
      <c r="N2" s="12" t="s">
        <v>12</v>
      </c>
      <c r="P2" s="2">
        <f>LARGE($M$2:$M$26,1)</f>
        <v>95.238095238095241</v>
      </c>
      <c r="R2" s="3">
        <v>1</v>
      </c>
      <c r="S2" s="4" t="str">
        <f>VLOOKUP(P2,$M$2:$P$26,2,FALSE)</f>
        <v xml:space="preserve">Jamaica </v>
      </c>
    </row>
    <row r="3" spans="1:19">
      <c r="A3" t="s">
        <v>13</v>
      </c>
      <c r="B3">
        <v>36</v>
      </c>
      <c r="C3">
        <v>38</v>
      </c>
      <c r="D3">
        <v>36</v>
      </c>
      <c r="E3">
        <v>110</v>
      </c>
      <c r="G3" s="1">
        <f t="shared" ref="G3:G26" si="0">B3*30000000</f>
        <v>1080000000</v>
      </c>
      <c r="H3" s="1">
        <f t="shared" ref="H3:H26" si="1">C3*20000000</f>
        <v>760000000</v>
      </c>
      <c r="I3" s="1">
        <f t="shared" ref="I3:I26" si="2">D3*10000000</f>
        <v>360000000</v>
      </c>
      <c r="J3" s="1">
        <f t="shared" ref="J2:J21" si="3">G3+H3+I3</f>
        <v>2200000000</v>
      </c>
      <c r="L3" s="2">
        <v>309000000</v>
      </c>
      <c r="M3" s="11">
        <f t="shared" ref="M3:M26" si="4">J3/L3</f>
        <v>7.1197411003236244</v>
      </c>
      <c r="N3" s="12" t="s">
        <v>13</v>
      </c>
      <c r="P3" s="2">
        <f>LARGE($M$2:$M$26,2)</f>
        <v>43.209876543209873</v>
      </c>
      <c r="R3" s="3">
        <v>2</v>
      </c>
      <c r="S3" s="4" t="str">
        <f>VLOOKUP(P3,$M$2:$P$26,2,FALSE)</f>
        <v xml:space="preserve">Norway </v>
      </c>
    </row>
    <row r="4" spans="1:19">
      <c r="A4" t="s">
        <v>14</v>
      </c>
      <c r="B4">
        <v>23</v>
      </c>
      <c r="C4">
        <v>21</v>
      </c>
      <c r="D4">
        <v>28</v>
      </c>
      <c r="E4">
        <v>72</v>
      </c>
      <c r="G4" s="1">
        <f t="shared" si="0"/>
        <v>690000000</v>
      </c>
      <c r="H4" s="1">
        <f t="shared" si="1"/>
        <v>420000000</v>
      </c>
      <c r="I4" s="1">
        <f t="shared" si="2"/>
        <v>280000000</v>
      </c>
      <c r="J4" s="1">
        <f t="shared" si="3"/>
        <v>1390000000</v>
      </c>
      <c r="L4" s="2">
        <v>140000000</v>
      </c>
      <c r="M4" s="11">
        <f t="shared" si="4"/>
        <v>9.9285714285714288</v>
      </c>
      <c r="N4" s="12" t="s">
        <v>14</v>
      </c>
      <c r="P4" s="2">
        <f>LARGE($M$2:$M$26,3)</f>
        <v>41.395348837209305</v>
      </c>
      <c r="R4" s="3">
        <v>3</v>
      </c>
      <c r="S4" s="4" t="str">
        <f>VLOOKUP(P4,$M$2:$P$26,2,FALSE)</f>
        <v xml:space="preserve">Australia </v>
      </c>
    </row>
    <row r="5" spans="1:19">
      <c r="A5" t="s">
        <v>15</v>
      </c>
      <c r="B5">
        <v>19</v>
      </c>
      <c r="C5">
        <v>13</v>
      </c>
      <c r="D5">
        <v>15</v>
      </c>
      <c r="E5">
        <v>47</v>
      </c>
      <c r="G5" s="1">
        <f t="shared" si="0"/>
        <v>570000000</v>
      </c>
      <c r="H5" s="1">
        <f t="shared" si="1"/>
        <v>260000000</v>
      </c>
      <c r="I5" s="1">
        <f t="shared" si="2"/>
        <v>150000000</v>
      </c>
      <c r="J5" s="1">
        <f t="shared" si="3"/>
        <v>980000000</v>
      </c>
      <c r="L5" s="2">
        <v>61900000</v>
      </c>
      <c r="M5" s="11">
        <f t="shared" si="4"/>
        <v>15.831987075928918</v>
      </c>
      <c r="N5" s="12" t="s">
        <v>15</v>
      </c>
      <c r="P5" s="2">
        <f>LARGE($M$2:$M$26,4)</f>
        <v>37.209302325581397</v>
      </c>
      <c r="R5" s="3">
        <v>4</v>
      </c>
      <c r="S5" s="4" t="str">
        <f>VLOOKUP(P5,$M$2:$P$26,2,FALSE)</f>
        <v xml:space="preserve">New Zealand </v>
      </c>
    </row>
    <row r="6" spans="1:19">
      <c r="A6" t="s">
        <v>16</v>
      </c>
      <c r="B6">
        <v>16</v>
      </c>
      <c r="C6">
        <v>10</v>
      </c>
      <c r="D6">
        <v>15</v>
      </c>
      <c r="E6">
        <v>41</v>
      </c>
      <c r="G6" s="1">
        <f t="shared" si="0"/>
        <v>480000000</v>
      </c>
      <c r="H6" s="1">
        <f t="shared" si="1"/>
        <v>200000000</v>
      </c>
      <c r="I6" s="1">
        <f t="shared" si="2"/>
        <v>150000000</v>
      </c>
      <c r="J6" s="1">
        <f t="shared" si="3"/>
        <v>830000000</v>
      </c>
      <c r="L6" s="2">
        <v>82100000</v>
      </c>
      <c r="M6" s="11">
        <f t="shared" si="4"/>
        <v>10.109622411693056</v>
      </c>
      <c r="N6" s="12" t="s">
        <v>16</v>
      </c>
      <c r="P6" s="2">
        <f>LARGE($M$2:$M$26,5)</f>
        <v>33.368091762252348</v>
      </c>
      <c r="R6" s="3">
        <v>5</v>
      </c>
      <c r="S6" s="4" t="str">
        <f>VLOOKUP(P6,$M$2:$P$26,2,FALSE)</f>
        <v xml:space="preserve">Belarus </v>
      </c>
    </row>
    <row r="7" spans="1:19">
      <c r="A7" t="s">
        <v>17</v>
      </c>
      <c r="B7">
        <v>14</v>
      </c>
      <c r="C7">
        <v>15</v>
      </c>
      <c r="D7">
        <v>17</v>
      </c>
      <c r="E7">
        <v>46</v>
      </c>
      <c r="G7" s="1">
        <f t="shared" si="0"/>
        <v>420000000</v>
      </c>
      <c r="H7" s="1">
        <f t="shared" si="1"/>
        <v>300000000</v>
      </c>
      <c r="I7" s="1">
        <f t="shared" si="2"/>
        <v>170000000</v>
      </c>
      <c r="J7" s="1">
        <f t="shared" si="3"/>
        <v>890000000</v>
      </c>
      <c r="L7" s="2">
        <v>21500000</v>
      </c>
      <c r="M7" s="11">
        <f t="shared" si="4"/>
        <v>41.395348837209305</v>
      </c>
      <c r="N7" s="12" t="s">
        <v>17</v>
      </c>
      <c r="P7" s="2">
        <f>LARGE($M$2:$M$26,6)</f>
        <v>25.878003696857672</v>
      </c>
      <c r="R7" s="3">
        <v>6</v>
      </c>
      <c r="S7" s="4" t="str">
        <f>VLOOKUP(P7,$M$2:$P$26,2,FALSE)</f>
        <v xml:space="preserve">Slovakia </v>
      </c>
    </row>
    <row r="8" spans="1:19">
      <c r="A8" t="s">
        <v>18</v>
      </c>
      <c r="B8">
        <v>13</v>
      </c>
      <c r="C8">
        <v>10</v>
      </c>
      <c r="D8">
        <v>8</v>
      </c>
      <c r="E8">
        <v>31</v>
      </c>
      <c r="G8" s="1">
        <f t="shared" si="0"/>
        <v>390000000</v>
      </c>
      <c r="H8" s="1">
        <f t="shared" si="1"/>
        <v>200000000</v>
      </c>
      <c r="I8" s="1">
        <f t="shared" si="2"/>
        <v>80000000</v>
      </c>
      <c r="J8" s="1">
        <f t="shared" si="3"/>
        <v>670000000</v>
      </c>
      <c r="L8" s="2">
        <v>72500000</v>
      </c>
      <c r="M8" s="11">
        <f t="shared" si="4"/>
        <v>9.2413793103448274</v>
      </c>
      <c r="N8" s="12" t="s">
        <v>18</v>
      </c>
      <c r="P8" s="2">
        <f>LARGE($M$2:$M$26,7)</f>
        <v>20.95808383233533</v>
      </c>
      <c r="R8" s="3">
        <v>7</v>
      </c>
      <c r="S8" s="4" t="str">
        <f>VLOOKUP(P8,$M$2:$P$26,2,FALSE)</f>
        <v xml:space="preserve">Netherlands </v>
      </c>
    </row>
    <row r="9" spans="1:19">
      <c r="A9" t="s">
        <v>19</v>
      </c>
      <c r="B9">
        <v>9</v>
      </c>
      <c r="C9">
        <v>6</v>
      </c>
      <c r="D9">
        <v>10</v>
      </c>
      <c r="E9">
        <v>25</v>
      </c>
      <c r="G9" s="1">
        <f t="shared" si="0"/>
        <v>270000000</v>
      </c>
      <c r="H9" s="1">
        <f t="shared" si="1"/>
        <v>120000000</v>
      </c>
      <c r="I9" s="1">
        <f t="shared" si="2"/>
        <v>100000000</v>
      </c>
      <c r="J9" s="1">
        <f t="shared" si="3"/>
        <v>490000000</v>
      </c>
      <c r="L9" s="2">
        <v>127000000</v>
      </c>
      <c r="M9" s="11">
        <f t="shared" si="4"/>
        <v>3.8582677165354329</v>
      </c>
      <c r="N9" s="12" t="s">
        <v>19</v>
      </c>
      <c r="P9" s="2">
        <f>LARGE($M$2:$M$26,8)</f>
        <v>15.831987075928918</v>
      </c>
      <c r="R9" s="3">
        <v>8</v>
      </c>
      <c r="S9" s="4" t="str">
        <f>VLOOKUP(P9,$M$2:$P$26,2,FALSE)</f>
        <v xml:space="preserve">Great Britain </v>
      </c>
    </row>
    <row r="10" spans="1:19">
      <c r="A10" t="s">
        <v>20</v>
      </c>
      <c r="B10">
        <v>8</v>
      </c>
      <c r="C10">
        <v>10</v>
      </c>
      <c r="D10">
        <v>10</v>
      </c>
      <c r="E10">
        <v>28</v>
      </c>
      <c r="G10" s="1">
        <f t="shared" si="0"/>
        <v>240000000</v>
      </c>
      <c r="H10" s="1">
        <f t="shared" si="1"/>
        <v>200000000</v>
      </c>
      <c r="I10" s="1">
        <f t="shared" si="2"/>
        <v>100000000</v>
      </c>
      <c r="J10" s="1">
        <f t="shared" si="3"/>
        <v>540000000</v>
      </c>
      <c r="L10" s="2">
        <v>60100000</v>
      </c>
      <c r="M10" s="11">
        <f t="shared" si="4"/>
        <v>8.9850249584026614</v>
      </c>
      <c r="N10" s="12" t="s">
        <v>20</v>
      </c>
      <c r="P10" s="2">
        <f>LARGE($M$2:$M$26,9)</f>
        <v>14.423076923076923</v>
      </c>
      <c r="R10" s="3">
        <v>9</v>
      </c>
      <c r="S10" s="4" t="str">
        <f>VLOOKUP(P10,$M$2:$P$26,2,FALSE)</f>
        <v xml:space="preserve">Czech Republic </v>
      </c>
    </row>
    <row r="11" spans="1:19">
      <c r="A11" t="s">
        <v>21</v>
      </c>
      <c r="B11">
        <v>7</v>
      </c>
      <c r="C11">
        <v>5</v>
      </c>
      <c r="D11">
        <v>4</v>
      </c>
      <c r="E11">
        <v>16</v>
      </c>
      <c r="G11" s="1">
        <f t="shared" si="0"/>
        <v>210000000</v>
      </c>
      <c r="H11" s="1">
        <f t="shared" si="1"/>
        <v>100000000</v>
      </c>
      <c r="I11" s="1">
        <f t="shared" si="2"/>
        <v>40000000</v>
      </c>
      <c r="J11" s="1">
        <f t="shared" si="3"/>
        <v>350000000</v>
      </c>
      <c r="L11" s="2">
        <v>16700000</v>
      </c>
      <c r="M11" s="11">
        <f t="shared" si="4"/>
        <v>20.95808383233533</v>
      </c>
      <c r="N11" s="12" t="s">
        <v>21</v>
      </c>
      <c r="P11" s="2">
        <f>LARGE($M$2:$M$26,10)</f>
        <v>10.802469135802468</v>
      </c>
      <c r="R11" s="3">
        <v>10</v>
      </c>
      <c r="S11" s="4" t="str">
        <f>VLOOKUP(P11,$M$2:$P$26,2,FALSE)</f>
        <v xml:space="preserve">France </v>
      </c>
    </row>
    <row r="12" spans="1:19">
      <c r="A12" t="s">
        <v>22</v>
      </c>
      <c r="B12">
        <v>7</v>
      </c>
      <c r="C12">
        <v>16</v>
      </c>
      <c r="D12">
        <v>17</v>
      </c>
      <c r="E12">
        <v>40</v>
      </c>
      <c r="G12" s="1">
        <f t="shared" si="0"/>
        <v>210000000</v>
      </c>
      <c r="H12" s="1">
        <f t="shared" si="1"/>
        <v>320000000</v>
      </c>
      <c r="I12" s="1">
        <f t="shared" si="2"/>
        <v>170000000</v>
      </c>
      <c r="J12" s="1">
        <f t="shared" si="3"/>
        <v>700000000</v>
      </c>
      <c r="L12" s="2">
        <v>64800000</v>
      </c>
      <c r="M12" s="11">
        <f t="shared" si="4"/>
        <v>10.802469135802468</v>
      </c>
      <c r="N12" s="12" t="s">
        <v>22</v>
      </c>
      <c r="P12" s="2">
        <f>LARGE($M$2:$M$26,11)</f>
        <v>10.13215859030837</v>
      </c>
      <c r="R12" s="3">
        <v>11</v>
      </c>
      <c r="S12" s="4" t="str">
        <f>VLOOKUP(P12,$M$2:$P$26,2,FALSE)</f>
        <v xml:space="preserve">Ukraine </v>
      </c>
    </row>
    <row r="13" spans="1:19">
      <c r="A13" t="s">
        <v>23</v>
      </c>
      <c r="B13">
        <v>7</v>
      </c>
      <c r="C13">
        <v>5</v>
      </c>
      <c r="D13">
        <v>15</v>
      </c>
      <c r="E13">
        <v>27</v>
      </c>
      <c r="G13" s="1">
        <f t="shared" si="0"/>
        <v>210000000</v>
      </c>
      <c r="H13" s="1">
        <f t="shared" si="1"/>
        <v>100000000</v>
      </c>
      <c r="I13" s="1">
        <f t="shared" si="2"/>
        <v>150000000</v>
      </c>
      <c r="J13" s="1">
        <f t="shared" si="3"/>
        <v>460000000</v>
      </c>
      <c r="L13" s="2">
        <v>45400000</v>
      </c>
      <c r="M13" s="11">
        <f t="shared" si="4"/>
        <v>10.13215859030837</v>
      </c>
      <c r="N13" s="12" t="s">
        <v>23</v>
      </c>
      <c r="P13" s="2">
        <f>LARGE($M$2:$M$26,12)</f>
        <v>10.109622411693056</v>
      </c>
      <c r="R13" s="3">
        <v>12</v>
      </c>
      <c r="S13" s="4" t="str">
        <f>VLOOKUP(P13,$M$2:$P$26,2,FALSE)</f>
        <v xml:space="preserve">Germany </v>
      </c>
    </row>
    <row r="14" spans="1:19">
      <c r="A14" t="s">
        <v>24</v>
      </c>
      <c r="B14">
        <v>6</v>
      </c>
      <c r="C14">
        <v>3</v>
      </c>
      <c r="D14">
        <v>2</v>
      </c>
      <c r="E14">
        <v>11</v>
      </c>
      <c r="G14" s="1">
        <f t="shared" si="0"/>
        <v>180000000</v>
      </c>
      <c r="H14" s="1">
        <f t="shared" si="1"/>
        <v>60000000</v>
      </c>
      <c r="I14" s="1">
        <f t="shared" si="2"/>
        <v>20000000</v>
      </c>
      <c r="J14" s="1">
        <f t="shared" si="3"/>
        <v>260000000</v>
      </c>
      <c r="L14" s="2">
        <v>2730000</v>
      </c>
      <c r="M14" s="11">
        <f t="shared" si="4"/>
        <v>95.238095238095241</v>
      </c>
      <c r="N14" s="12" t="s">
        <v>24</v>
      </c>
      <c r="P14" s="2">
        <f>LARGE($M$2:$M$26,13)</f>
        <v>9.9285714285714288</v>
      </c>
      <c r="R14" s="3">
        <v>13</v>
      </c>
      <c r="S14" s="4" t="str">
        <f>VLOOKUP(P14,$M$2:$P$26,2,FALSE)</f>
        <v xml:space="preserve">Russian Fed. </v>
      </c>
    </row>
    <row r="15" spans="1:19">
      <c r="A15" t="s">
        <v>25</v>
      </c>
      <c r="B15">
        <v>5</v>
      </c>
      <c r="C15">
        <v>10</v>
      </c>
      <c r="D15">
        <v>3</v>
      </c>
      <c r="E15">
        <v>18</v>
      </c>
      <c r="G15" s="1">
        <f t="shared" si="0"/>
        <v>150000000</v>
      </c>
      <c r="H15" s="1">
        <f t="shared" si="1"/>
        <v>200000000</v>
      </c>
      <c r="I15" s="1">
        <f t="shared" si="2"/>
        <v>30000000</v>
      </c>
      <c r="J15" s="1">
        <f t="shared" si="3"/>
        <v>380000000</v>
      </c>
      <c r="L15" s="2">
        <v>45300000</v>
      </c>
      <c r="M15" s="11">
        <f t="shared" si="4"/>
        <v>8.3885209713024285</v>
      </c>
      <c r="N15" s="12" t="s">
        <v>25</v>
      </c>
      <c r="P15" s="2">
        <f>LARGE($M$2:$M$26,14)</f>
        <v>9.7345132743362832</v>
      </c>
      <c r="R15" s="3">
        <v>14</v>
      </c>
      <c r="S15" s="4" t="str">
        <f>VLOOKUP(P15,$M$2:$P$26,2,FALSE)</f>
        <v xml:space="preserve">Canada </v>
      </c>
    </row>
    <row r="16" spans="1:19">
      <c r="A16" t="s">
        <v>26</v>
      </c>
      <c r="B16">
        <v>5</v>
      </c>
      <c r="C16">
        <v>5</v>
      </c>
      <c r="D16">
        <v>4</v>
      </c>
      <c r="E16">
        <v>14</v>
      </c>
      <c r="G16" s="1">
        <f t="shared" si="0"/>
        <v>150000000</v>
      </c>
      <c r="H16" s="1">
        <f t="shared" si="1"/>
        <v>100000000</v>
      </c>
      <c r="I16" s="1">
        <f t="shared" si="2"/>
        <v>40000000</v>
      </c>
      <c r="J16" s="1">
        <f t="shared" si="3"/>
        <v>290000000</v>
      </c>
      <c r="L16" s="2">
        <v>40900000</v>
      </c>
      <c r="M16" s="11">
        <f t="shared" si="4"/>
        <v>7.0904645476772616</v>
      </c>
      <c r="N16" s="12" t="s">
        <v>26</v>
      </c>
      <c r="P16" s="2">
        <f>LARGE($M$2:$M$26,15)</f>
        <v>9.2413793103448274</v>
      </c>
      <c r="R16" s="3">
        <v>15</v>
      </c>
      <c r="S16" s="4" t="str">
        <f>VLOOKUP(P16,$M$2:$P$26,2,FALSE)</f>
        <v xml:space="preserve">Korea </v>
      </c>
    </row>
    <row r="17" spans="1:19">
      <c r="A17" t="s">
        <v>27</v>
      </c>
      <c r="B17">
        <v>4</v>
      </c>
      <c r="C17">
        <v>1</v>
      </c>
      <c r="D17">
        <v>2</v>
      </c>
      <c r="E17">
        <v>7</v>
      </c>
      <c r="G17" s="1">
        <f t="shared" si="0"/>
        <v>120000000</v>
      </c>
      <c r="H17" s="1">
        <f t="shared" si="1"/>
        <v>20000000</v>
      </c>
      <c r="I17" s="1">
        <f t="shared" si="2"/>
        <v>20000000</v>
      </c>
      <c r="J17" s="1">
        <f t="shared" si="3"/>
        <v>160000000</v>
      </c>
      <c r="L17" s="2">
        <v>85000000</v>
      </c>
      <c r="M17" s="11">
        <f t="shared" si="4"/>
        <v>1.8823529411764706</v>
      </c>
      <c r="N17" s="12" t="s">
        <v>27</v>
      </c>
      <c r="P17" s="2">
        <f>LARGE($M$2:$M$26,16)</f>
        <v>8.9850249584026614</v>
      </c>
      <c r="R17" s="3">
        <v>16</v>
      </c>
      <c r="S17" s="4" t="str">
        <f>VLOOKUP(P17,$M$2:$P$26,2,FALSE)</f>
        <v xml:space="preserve">Italy </v>
      </c>
    </row>
    <row r="18" spans="1:19">
      <c r="A18" t="s">
        <v>28</v>
      </c>
      <c r="B18">
        <v>4</v>
      </c>
      <c r="C18">
        <v>1</v>
      </c>
      <c r="D18">
        <v>3</v>
      </c>
      <c r="E18">
        <v>8</v>
      </c>
      <c r="G18" s="1">
        <f t="shared" si="0"/>
        <v>120000000</v>
      </c>
      <c r="H18" s="1">
        <f t="shared" si="1"/>
        <v>20000000</v>
      </c>
      <c r="I18" s="1">
        <f t="shared" si="2"/>
        <v>30000000</v>
      </c>
      <c r="J18" s="1">
        <f t="shared" si="3"/>
        <v>170000000</v>
      </c>
      <c r="L18" s="2">
        <v>21200000</v>
      </c>
      <c r="M18" s="11">
        <f t="shared" si="4"/>
        <v>8.0188679245283012</v>
      </c>
      <c r="N18" s="12" t="s">
        <v>28</v>
      </c>
      <c r="P18" s="2">
        <f>LARGE($M$2:$M$26,17)</f>
        <v>8.3885209713024285</v>
      </c>
      <c r="R18" s="3">
        <v>17</v>
      </c>
      <c r="S18" s="4" t="str">
        <f>VLOOKUP(P18,$M$2:$P$26,2,FALSE)</f>
        <v xml:space="preserve">Spain </v>
      </c>
    </row>
    <row r="19" spans="1:19">
      <c r="A19" t="s">
        <v>29</v>
      </c>
      <c r="B19">
        <v>4</v>
      </c>
      <c r="C19">
        <v>5</v>
      </c>
      <c r="D19">
        <v>10</v>
      </c>
      <c r="E19">
        <v>19</v>
      </c>
      <c r="G19" s="1">
        <f t="shared" si="0"/>
        <v>120000000</v>
      </c>
      <c r="H19" s="1">
        <f t="shared" si="1"/>
        <v>100000000</v>
      </c>
      <c r="I19" s="1">
        <f t="shared" si="2"/>
        <v>100000000</v>
      </c>
      <c r="J19" s="1">
        <f t="shared" si="3"/>
        <v>320000000</v>
      </c>
      <c r="L19" s="2">
        <v>9590000</v>
      </c>
      <c r="M19" s="11">
        <f t="shared" si="4"/>
        <v>33.368091762252348</v>
      </c>
      <c r="N19" s="12" t="s">
        <v>29</v>
      </c>
      <c r="P19" s="2">
        <f>LARGE($M$2:$M$26,18)</f>
        <v>8.0188679245283012</v>
      </c>
      <c r="R19" s="3">
        <v>18</v>
      </c>
      <c r="S19" s="4" t="str">
        <f>VLOOKUP(P19,$M$2:$P$26,2,FALSE)</f>
        <v xml:space="preserve">Romania </v>
      </c>
    </row>
    <row r="20" spans="1:19">
      <c r="A20" t="s">
        <v>30</v>
      </c>
      <c r="B20">
        <v>3</v>
      </c>
      <c r="C20">
        <v>5</v>
      </c>
      <c r="D20">
        <v>2</v>
      </c>
      <c r="E20">
        <v>10</v>
      </c>
      <c r="G20" s="1">
        <f t="shared" si="0"/>
        <v>90000000</v>
      </c>
      <c r="H20" s="1">
        <f t="shared" si="1"/>
        <v>100000000</v>
      </c>
      <c r="I20" s="1">
        <f t="shared" si="2"/>
        <v>20000000</v>
      </c>
      <c r="J20" s="1">
        <f t="shared" si="3"/>
        <v>210000000</v>
      </c>
      <c r="L20" s="2">
        <v>4860000</v>
      </c>
      <c r="M20" s="11">
        <f t="shared" si="4"/>
        <v>43.209876543209873</v>
      </c>
      <c r="N20" s="12" t="s">
        <v>30</v>
      </c>
      <c r="P20" s="2">
        <f>LARGE($M$2:$M$26,19)</f>
        <v>7.1197411003236244</v>
      </c>
      <c r="R20" s="3">
        <v>19</v>
      </c>
      <c r="S20" s="4" t="str">
        <f>VLOOKUP(P20,$M$2:$P$26,2,FALSE)</f>
        <v xml:space="preserve">USA </v>
      </c>
    </row>
    <row r="21" spans="1:19">
      <c r="A21" t="s">
        <v>31</v>
      </c>
      <c r="B21">
        <v>3</v>
      </c>
      <c r="C21">
        <v>9</v>
      </c>
      <c r="D21">
        <v>6</v>
      </c>
      <c r="E21">
        <v>18</v>
      </c>
      <c r="G21" s="1">
        <f t="shared" si="0"/>
        <v>90000000</v>
      </c>
      <c r="H21" s="1">
        <f t="shared" si="1"/>
        <v>180000000</v>
      </c>
      <c r="I21" s="1">
        <f t="shared" si="2"/>
        <v>60000000</v>
      </c>
      <c r="J21" s="1">
        <f t="shared" si="3"/>
        <v>330000000</v>
      </c>
      <c r="L21" s="2">
        <v>33900000</v>
      </c>
      <c r="M21" s="11">
        <f t="shared" si="4"/>
        <v>9.7345132743362832</v>
      </c>
      <c r="N21" s="12" t="s">
        <v>31</v>
      </c>
      <c r="P21" s="2">
        <f>LARGE($M$2:$M$26,20)</f>
        <v>7.0904645476772616</v>
      </c>
      <c r="R21" s="3">
        <v>20</v>
      </c>
      <c r="S21" s="4" t="str">
        <f>VLOOKUP(P21,$M$2:$P$26,2,FALSE)</f>
        <v xml:space="preserve">Kenya </v>
      </c>
    </row>
    <row r="22" spans="1:19">
      <c r="A22" t="s">
        <v>32</v>
      </c>
      <c r="B22">
        <v>3</v>
      </c>
      <c r="C22">
        <v>1</v>
      </c>
      <c r="D22">
        <v>5</v>
      </c>
      <c r="E22">
        <v>9</v>
      </c>
      <c r="G22" s="1">
        <f t="shared" si="0"/>
        <v>90000000</v>
      </c>
      <c r="H22" s="1">
        <f t="shared" si="1"/>
        <v>20000000</v>
      </c>
      <c r="I22" s="1">
        <f t="shared" si="2"/>
        <v>50000000</v>
      </c>
      <c r="J22" s="1">
        <f t="shared" ref="J22:J26" si="5">G22+H22+I22</f>
        <v>160000000</v>
      </c>
      <c r="L22" s="2">
        <v>4300000</v>
      </c>
      <c r="M22" s="11">
        <f t="shared" si="4"/>
        <v>37.209302325581397</v>
      </c>
      <c r="N22" s="12" t="s">
        <v>32</v>
      </c>
      <c r="P22" s="2">
        <f>LARGE($M$2:$M$26,21)</f>
        <v>5.7894736842105265</v>
      </c>
      <c r="R22" s="3">
        <v>21</v>
      </c>
      <c r="S22" s="4" t="str">
        <f t="shared" ref="S22:S26" si="6">VLOOKUP(P22,$M$2:$P$26,2,FALSE)</f>
        <v xml:space="preserve">Poland </v>
      </c>
    </row>
    <row r="23" spans="1:19">
      <c r="A23" t="s">
        <v>33</v>
      </c>
      <c r="B23">
        <v>3</v>
      </c>
      <c r="C23">
        <v>2</v>
      </c>
      <c r="D23">
        <v>1</v>
      </c>
      <c r="E23">
        <v>6</v>
      </c>
      <c r="G23" s="1">
        <f t="shared" si="0"/>
        <v>90000000</v>
      </c>
      <c r="H23" s="1">
        <f t="shared" si="1"/>
        <v>40000000</v>
      </c>
      <c r="I23" s="1">
        <f t="shared" si="2"/>
        <v>10000000</v>
      </c>
      <c r="J23" s="1">
        <f t="shared" si="5"/>
        <v>140000000</v>
      </c>
      <c r="L23" s="2">
        <v>5410000</v>
      </c>
      <c r="M23" s="11">
        <f t="shared" si="4"/>
        <v>25.878003696857672</v>
      </c>
      <c r="N23" s="12" t="s">
        <v>33</v>
      </c>
      <c r="P23" s="2">
        <f>LARGE($M$2:$M$26,22)</f>
        <v>3.8582677165354329</v>
      </c>
      <c r="R23" s="3">
        <v>22</v>
      </c>
      <c r="S23" s="4" t="str">
        <f t="shared" si="6"/>
        <v xml:space="preserve">Japan </v>
      </c>
    </row>
    <row r="24" spans="1:19">
      <c r="A24" t="s">
        <v>34</v>
      </c>
      <c r="B24">
        <v>3</v>
      </c>
      <c r="C24">
        <v>4</v>
      </c>
      <c r="D24">
        <v>8</v>
      </c>
      <c r="E24">
        <v>15</v>
      </c>
      <c r="G24" s="1">
        <f t="shared" si="0"/>
        <v>90000000</v>
      </c>
      <c r="H24" s="1">
        <f t="shared" si="1"/>
        <v>80000000</v>
      </c>
      <c r="I24" s="1">
        <f t="shared" si="2"/>
        <v>80000000</v>
      </c>
      <c r="J24" s="1">
        <f t="shared" si="5"/>
        <v>250000000</v>
      </c>
      <c r="L24" s="2">
        <v>195000000</v>
      </c>
      <c r="M24" s="11">
        <f t="shared" si="4"/>
        <v>1.2820512820512822</v>
      </c>
      <c r="N24" s="12" t="s">
        <v>34</v>
      </c>
      <c r="P24" s="2">
        <f>LARGE($M$2:$M$26,23)</f>
        <v>1.8823529411764706</v>
      </c>
      <c r="R24" s="3">
        <v>23</v>
      </c>
      <c r="S24" s="4" t="str">
        <f t="shared" si="6"/>
        <v xml:space="preserve">Ethiopia </v>
      </c>
    </row>
    <row r="25" spans="1:19">
      <c r="A25" t="s">
        <v>35</v>
      </c>
      <c r="B25">
        <v>3</v>
      </c>
      <c r="C25">
        <v>6</v>
      </c>
      <c r="D25">
        <v>1</v>
      </c>
      <c r="E25">
        <v>10</v>
      </c>
      <c r="G25" s="1">
        <f t="shared" si="0"/>
        <v>90000000</v>
      </c>
      <c r="H25" s="1">
        <f t="shared" si="1"/>
        <v>120000000</v>
      </c>
      <c r="I25" s="1">
        <f t="shared" si="2"/>
        <v>10000000</v>
      </c>
      <c r="J25" s="1">
        <f t="shared" si="5"/>
        <v>220000000</v>
      </c>
      <c r="L25" s="2">
        <v>38000000</v>
      </c>
      <c r="M25" s="11">
        <f t="shared" si="4"/>
        <v>5.7894736842105265</v>
      </c>
      <c r="N25" s="12" t="s">
        <v>35</v>
      </c>
      <c r="P25" s="2">
        <f>LARGE($M$2:$M$26,24)</f>
        <v>1.6518518518518519</v>
      </c>
      <c r="R25" s="3">
        <v>24</v>
      </c>
      <c r="S25" s="4" t="str">
        <f t="shared" si="6"/>
        <v xml:space="preserve">China </v>
      </c>
    </row>
    <row r="26" spans="1:19">
      <c r="A26" t="s">
        <v>36</v>
      </c>
      <c r="B26">
        <v>3</v>
      </c>
      <c r="C26">
        <v>3</v>
      </c>
      <c r="D26">
        <v>0</v>
      </c>
      <c r="E26">
        <v>6</v>
      </c>
      <c r="G26" s="1">
        <f t="shared" si="0"/>
        <v>90000000</v>
      </c>
      <c r="H26" s="1">
        <f t="shared" si="1"/>
        <v>60000000</v>
      </c>
      <c r="I26" s="1">
        <f t="shared" si="2"/>
        <v>0</v>
      </c>
      <c r="J26" s="1">
        <f t="shared" si="5"/>
        <v>150000000</v>
      </c>
      <c r="L26" s="2">
        <v>10400000</v>
      </c>
      <c r="M26" s="13">
        <f t="shared" si="4"/>
        <v>14.423076923076923</v>
      </c>
      <c r="N26" s="14" t="s">
        <v>36</v>
      </c>
      <c r="P26" s="2">
        <f>LARGE($M$2:$M$26,25)</f>
        <v>1.2820512820512822</v>
      </c>
      <c r="R26" s="5">
        <v>25</v>
      </c>
      <c r="S26" s="6" t="str">
        <f t="shared" si="6"/>
        <v xml:space="preserve">Brazil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Who's the best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</dc:creator>
  <cp:lastModifiedBy>Elliott</cp:lastModifiedBy>
  <dcterms:created xsi:type="dcterms:W3CDTF">2011-06-19T10:10:03Z</dcterms:created>
  <dcterms:modified xsi:type="dcterms:W3CDTF">2011-06-19T11:10:41Z</dcterms:modified>
</cp:coreProperties>
</file>